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<sst xmlns="http://schemas.openxmlformats.org/spreadsheetml/2006/main" count="54" uniqueCount="32">
  <si>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Водоотведение (прием сточных вод в городскую канализацию)</t>
  </si>
  <si>
    <t>Закупаемые коммунальные ресурсы</t>
  </si>
  <si>
    <t>Перечень закупаемых коммунальных ресурсов у ресурсоснабжающих организаций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</si>
  <si>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</si>
  <si>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</si>
  <si>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</si>
  <si>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</si>
  <si>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</si>
  <si>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</si>
  <si>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</si>
  <si>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</si>
  <si>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</si>
  <si>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</si>
  <si>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</si>
  <si>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</si>
  <si>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руб.</t>
  </si>
  <si>
    <t>Начислено населению</t>
  </si>
  <si>
    <t xml:space="preserve">Сумма по договору </t>
  </si>
  <si>
    <t>Объем по договору</t>
  </si>
  <si>
    <t>Итого:</t>
  </si>
  <si>
    <t>сумма, тыс. руб.</t>
  </si>
  <si>
    <t>Сумма перерасчетов</t>
  </si>
  <si>
    <t>Итого предъявлено населению</t>
  </si>
  <si>
    <r>
      <t>объем, тыс.м</t>
    </r>
    <r>
      <rPr>
        <vertAlign val="superscript"/>
        <sz val="10"/>
        <rFont val="Arial"/>
        <family val="2"/>
      </rPr>
      <t>3</t>
    </r>
  </si>
  <si>
    <t>Водоснабжение (отпуск холодной воды)</t>
  </si>
  <si>
    <t>2010 г.</t>
  </si>
  <si>
    <t>Период</t>
  </si>
  <si>
    <t>Оплачено населением, тыс. руб.</t>
  </si>
  <si>
    <t>Задолженность населения, тыс. руб.</t>
  </si>
  <si>
    <t>Водоотведение (прием сточных вод в гор. канализацию)</t>
  </si>
  <si>
    <r>
      <t>м</t>
    </r>
    <r>
      <rPr>
        <vertAlign val="superscript"/>
        <sz val="10"/>
        <rFont val="Arial"/>
        <family val="2"/>
      </rPr>
      <t>3</t>
    </r>
  </si>
  <si>
    <t>1. Ресурсоснабжающая организация - МУП г. Хабаровска "Водоканал"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</si>
</sst>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5" fillId="0" borderId="5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tabSelected="1" workbookViewId="0" topLeftCell="A1">
      <selection activeCell="O20" sqref="O20"/>
    </sheetView>
  </sheetViews>
  <sheetFormatPr defaultColWidth="9.140625" defaultRowHeight="12.75"/>
  <cols>
    <col min="2" max="2" width="7.57421875" style="0" customWidth="1"/>
    <col min="3" max="3" width="8.7109375" style="0" customWidth="1"/>
    <col min="4" max="4" width="6.8515625" style="0" customWidth="1"/>
    <col min="5" max="5" width="8.57421875" style="0" customWidth="1"/>
    <col min="6" max="6" width="7.57421875" style="0" customWidth="1"/>
    <col min="8" max="8" width="9.140625" style="0" hidden="1" customWidth="1"/>
    <col min="9" max="9" width="9.140625" style="8" hidden="1" customWidth="1"/>
    <col min="10" max="10" width="7.421875" style="0" customWidth="1"/>
    <col min="12" max="12" width="7.00390625" style="0" customWidth="1"/>
    <col min="14" max="14" width="7.28125" style="0" customWidth="1"/>
    <col min="15" max="15" width="8.57421875" style="0" customWidth="1"/>
    <col min="16" max="16" width="0" style="0" hidden="1" customWidth="1"/>
    <col min="17" max="17" width="0" style="8" hidden="1" customWidth="1"/>
    <col min="19" max="19" width="10.28125" style="0" customWidth="1"/>
    <col min="20" max="20" width="9.57421875" style="0" bestFit="1" customWidth="1"/>
    <col min="21" max="21" width="10.28125" style="0" customWidth="1"/>
  </cols>
  <sheetData>
    <row r="2" ht="15">
      <c r="A2" s="1" t="s">
        <v>2</v>
      </c>
    </row>
    <row r="3" ht="12" customHeight="1"/>
    <row r="4" ht="12.75">
      <c r="A4" t="s">
        <v>31</v>
      </c>
    </row>
    <row r="6" spans="1:21" ht="16.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5.5" customHeight="1">
      <c r="A7" s="46" t="s">
        <v>26</v>
      </c>
      <c r="B7" s="43" t="s">
        <v>24</v>
      </c>
      <c r="C7" s="44"/>
      <c r="D7" s="44"/>
      <c r="E7" s="44"/>
      <c r="F7" s="44"/>
      <c r="G7" s="45"/>
      <c r="H7" s="24"/>
      <c r="I7" s="32"/>
      <c r="J7" s="40" t="s">
        <v>0</v>
      </c>
      <c r="K7" s="41"/>
      <c r="L7" s="41"/>
      <c r="M7" s="41"/>
      <c r="N7" s="41"/>
      <c r="O7" s="42"/>
      <c r="R7" s="38" t="s">
        <v>24</v>
      </c>
      <c r="S7" s="38"/>
      <c r="T7" s="34" t="s">
        <v>29</v>
      </c>
      <c r="U7" s="35"/>
    </row>
    <row r="8" spans="1:21" ht="14.25">
      <c r="A8" s="46"/>
      <c r="B8" s="21" t="s">
        <v>18</v>
      </c>
      <c r="C8" s="7"/>
      <c r="E8" s="30">
        <f>B13</f>
        <v>2531.702233</v>
      </c>
      <c r="F8" s="7" t="s">
        <v>30</v>
      </c>
      <c r="G8" s="22"/>
      <c r="H8" s="7"/>
      <c r="I8" s="9"/>
      <c r="J8" s="21" t="s">
        <v>18</v>
      </c>
      <c r="K8" s="7"/>
      <c r="L8" s="7"/>
      <c r="M8" s="30">
        <f>J13</f>
        <v>3677.720303</v>
      </c>
      <c r="N8" s="7" t="s">
        <v>30</v>
      </c>
      <c r="O8" s="22"/>
      <c r="R8" s="39"/>
      <c r="S8" s="39"/>
      <c r="T8" s="36"/>
      <c r="U8" s="37"/>
    </row>
    <row r="9" spans="1:21" ht="12.75">
      <c r="A9" s="46"/>
      <c r="B9" s="23" t="s">
        <v>17</v>
      </c>
      <c r="C9" s="24"/>
      <c r="E9" s="31">
        <f>C13</f>
        <v>61463.24215</v>
      </c>
      <c r="F9" s="24" t="s">
        <v>15</v>
      </c>
      <c r="G9" s="25"/>
      <c r="H9" s="7"/>
      <c r="I9" s="9"/>
      <c r="J9" s="23" t="s">
        <v>17</v>
      </c>
      <c r="K9" s="24"/>
      <c r="L9" s="24"/>
      <c r="M9" s="31">
        <f>K13</f>
        <v>72319.08333</v>
      </c>
      <c r="N9" s="24" t="s">
        <v>15</v>
      </c>
      <c r="O9" s="25"/>
      <c r="R9" s="39" t="s">
        <v>27</v>
      </c>
      <c r="S9" s="39" t="s">
        <v>28</v>
      </c>
      <c r="T9" s="39" t="s">
        <v>27</v>
      </c>
      <c r="U9" s="39" t="s">
        <v>28</v>
      </c>
    </row>
    <row r="10" spans="1:21" ht="26.25" customHeight="1">
      <c r="A10" s="46"/>
      <c r="B10" s="48" t="s">
        <v>16</v>
      </c>
      <c r="C10" s="48"/>
      <c r="D10" s="48" t="s">
        <v>21</v>
      </c>
      <c r="E10" s="48"/>
      <c r="F10" s="48" t="s">
        <v>22</v>
      </c>
      <c r="G10" s="48"/>
      <c r="H10" s="12"/>
      <c r="I10" s="13"/>
      <c r="J10" s="48" t="s">
        <v>16</v>
      </c>
      <c r="K10" s="48"/>
      <c r="L10" s="48" t="s">
        <v>21</v>
      </c>
      <c r="M10" s="48"/>
      <c r="N10" s="48" t="s">
        <v>22</v>
      </c>
      <c r="O10" s="48"/>
      <c r="P10" s="6"/>
      <c r="R10" s="39"/>
      <c r="S10" s="39"/>
      <c r="T10" s="39"/>
      <c r="U10" s="39"/>
    </row>
    <row r="11" spans="1:21" ht="39.75">
      <c r="A11" s="47"/>
      <c r="B11" s="14" t="s">
        <v>23</v>
      </c>
      <c r="C11" s="14" t="s">
        <v>20</v>
      </c>
      <c r="D11" s="14" t="s">
        <v>23</v>
      </c>
      <c r="E11" s="14" t="s">
        <v>20</v>
      </c>
      <c r="F11" s="14" t="s">
        <v>23</v>
      </c>
      <c r="G11" s="14" t="s">
        <v>20</v>
      </c>
      <c r="H11" s="14"/>
      <c r="I11" s="15"/>
      <c r="J11" s="14" t="s">
        <v>23</v>
      </c>
      <c r="K11" s="14" t="s">
        <v>20</v>
      </c>
      <c r="L11" s="14" t="s">
        <v>23</v>
      </c>
      <c r="M11" s="14" t="s">
        <v>20</v>
      </c>
      <c r="N11" s="14" t="s">
        <v>23</v>
      </c>
      <c r="O11" s="14" t="s">
        <v>20</v>
      </c>
      <c r="P11" s="4"/>
      <c r="R11" s="39"/>
      <c r="S11" s="39"/>
      <c r="T11" s="39"/>
      <c r="U11" s="39"/>
    </row>
    <row r="12" spans="1:21" ht="12.75">
      <c r="A12" s="16"/>
      <c r="B12" s="48" t="s">
        <v>25</v>
      </c>
      <c r="C12" s="48"/>
      <c r="D12" s="48"/>
      <c r="E12" s="48"/>
      <c r="F12" s="48"/>
      <c r="G12" s="48"/>
      <c r="H12" s="14"/>
      <c r="I12" s="15"/>
      <c r="J12" s="48" t="s">
        <v>25</v>
      </c>
      <c r="K12" s="48"/>
      <c r="L12" s="48"/>
      <c r="M12" s="48"/>
      <c r="N12" s="48"/>
      <c r="O12" s="48"/>
      <c r="P12" s="4"/>
      <c r="R12" s="49" t="s">
        <v>25</v>
      </c>
      <c r="S12" s="49"/>
      <c r="T12" s="49"/>
      <c r="U12" s="49"/>
    </row>
    <row r="13" spans="1:23" s="28" customFormat="1" ht="17.25" customHeight="1">
      <c r="A13" s="26" t="s">
        <v>19</v>
      </c>
      <c r="B13" s="27">
        <f aca="true" t="shared" si="0" ref="B13:O13">SUM(B14:B25)</f>
        <v>2531.702233</v>
      </c>
      <c r="C13" s="27">
        <f t="shared" si="0"/>
        <v>61463.24215</v>
      </c>
      <c r="D13" s="27">
        <f t="shared" si="0"/>
        <v>-111.57320200000001</v>
      </c>
      <c r="E13" s="27">
        <f t="shared" si="0"/>
        <v>-2516.0007100000003</v>
      </c>
      <c r="F13" s="27">
        <f t="shared" si="0"/>
        <v>2420.1290310000004</v>
      </c>
      <c r="G13" s="27">
        <f t="shared" si="0"/>
        <v>58947.24144</v>
      </c>
      <c r="H13" s="27">
        <f t="shared" si="0"/>
        <v>2420.1290310000004</v>
      </c>
      <c r="I13" s="27">
        <f t="shared" si="0"/>
        <v>58947.24144</v>
      </c>
      <c r="J13" s="27">
        <f t="shared" si="0"/>
        <v>3677.720303</v>
      </c>
      <c r="K13" s="27">
        <f t="shared" si="0"/>
        <v>72319.08333</v>
      </c>
      <c r="L13" s="27">
        <f t="shared" si="0"/>
        <v>-250.09712400000004</v>
      </c>
      <c r="M13" s="27">
        <f t="shared" si="0"/>
        <v>-4679.67271</v>
      </c>
      <c r="N13" s="27">
        <f t="shared" si="0"/>
        <v>3427.623169</v>
      </c>
      <c r="O13" s="27">
        <f t="shared" si="0"/>
        <v>67639.41062</v>
      </c>
      <c r="P13" s="27">
        <f aca="true" t="shared" si="1" ref="P13:U13">SUM(P14:P25)</f>
        <v>3427.6231789999997</v>
      </c>
      <c r="Q13" s="27">
        <f t="shared" si="1"/>
        <v>67639.41062</v>
      </c>
      <c r="R13" s="27">
        <f t="shared" si="1"/>
        <v>55817.200000000004</v>
      </c>
      <c r="S13" s="27">
        <f t="shared" si="1"/>
        <v>3130.041439999999</v>
      </c>
      <c r="T13" s="27">
        <f t="shared" si="1"/>
        <v>63657.6</v>
      </c>
      <c r="U13" s="27">
        <f t="shared" si="1"/>
        <v>3981.81062</v>
      </c>
      <c r="W13" s="29"/>
    </row>
    <row r="14" spans="1:21" s="5" customFormat="1" ht="15.75" customHeight="1">
      <c r="A14" s="17" t="s">
        <v>3</v>
      </c>
      <c r="B14" s="18">
        <f>262051.789/1000</f>
        <v>262.051789</v>
      </c>
      <c r="C14" s="18">
        <f>6244385.76/1000</f>
        <v>6244.38576</v>
      </c>
      <c r="D14" s="18">
        <f>-18.416/1000-18285.468/1000</f>
        <v>-18.303884</v>
      </c>
      <c r="E14" s="18">
        <f>-368.33/1000-364430.26/1000</f>
        <v>-364.79859000000005</v>
      </c>
      <c r="F14" s="18">
        <f>243747.905/1000</f>
        <v>243.747905</v>
      </c>
      <c r="G14" s="2">
        <f>5879587.17/1000</f>
        <v>5879.58717</v>
      </c>
      <c r="H14" s="19">
        <f aca="true" t="shared" si="2" ref="H14:H20">B14+D14</f>
        <v>243.74790499999997</v>
      </c>
      <c r="I14" s="19">
        <f aca="true" t="shared" si="3" ref="I14:I23">C14+E14</f>
        <v>5879.58717</v>
      </c>
      <c r="J14" s="18">
        <f>379622.767/1000</f>
        <v>379.622767</v>
      </c>
      <c r="K14" s="18">
        <f>7318290.31/1000</f>
        <v>7318.290309999999</v>
      </c>
      <c r="L14" s="18">
        <f>434.882/1000-27777.419/1000</f>
        <v>-27.342537</v>
      </c>
      <c r="M14" s="18">
        <f>6962.36/1000-442779.47/1000</f>
        <v>-435.81710999999996</v>
      </c>
      <c r="N14" s="18">
        <f>352280.23/1000</f>
        <v>352.28022999999996</v>
      </c>
      <c r="O14" s="2">
        <f>6882473.2/1000</f>
        <v>6882.4732</v>
      </c>
      <c r="P14" s="11">
        <f aca="true" t="shared" si="4" ref="P14:Q22">J14+L14</f>
        <v>352.28023</v>
      </c>
      <c r="Q14" s="11">
        <f t="shared" si="4"/>
        <v>6882.473199999999</v>
      </c>
      <c r="R14" s="17">
        <v>4447.1</v>
      </c>
      <c r="S14" s="18">
        <f>G14-R14</f>
        <v>1432.4871699999994</v>
      </c>
      <c r="T14" s="17">
        <v>4738.9</v>
      </c>
      <c r="U14" s="18">
        <f>O14-T14</f>
        <v>2143.5732000000007</v>
      </c>
    </row>
    <row r="15" spans="1:21" s="5" customFormat="1" ht="15.75" customHeight="1">
      <c r="A15" s="17" t="s">
        <v>4</v>
      </c>
      <c r="B15" s="18">
        <f>260658.875/1000</f>
        <v>260.658875</v>
      </c>
      <c r="C15" s="18">
        <f>6340920.21/1000</f>
        <v>6340.92021</v>
      </c>
      <c r="D15" s="18">
        <f>-16.024/1000-9880.9/1000</f>
        <v>-9.896924</v>
      </c>
      <c r="E15" s="18">
        <f>-391.09/1000-208482.84/1000</f>
        <v>-208.87393</v>
      </c>
      <c r="F15" s="18">
        <f>250761.951/1000</f>
        <v>250.761951</v>
      </c>
      <c r="G15" s="2">
        <f>6132046.28/1000</f>
        <v>6132.0462800000005</v>
      </c>
      <c r="H15" s="19">
        <f t="shared" si="2"/>
        <v>250.761951</v>
      </c>
      <c r="I15" s="19">
        <f t="shared" si="3"/>
        <v>6132.0462800000005</v>
      </c>
      <c r="J15" s="18">
        <f>378030.518/1000</f>
        <v>378.030518</v>
      </c>
      <c r="K15" s="18">
        <f>7448880.21/1000</f>
        <v>7448.88021</v>
      </c>
      <c r="L15" s="18">
        <f>127.302/1000-14532.832/1000</f>
        <v>-14.40553</v>
      </c>
      <c r="M15" s="18">
        <f>1971.76/1000-245894.65/1000</f>
        <v>-243.92289</v>
      </c>
      <c r="N15" s="18">
        <f>363624.988/1000</f>
        <v>363.62498800000003</v>
      </c>
      <c r="O15" s="2">
        <f>7204957.32/1000</f>
        <v>7204.95732</v>
      </c>
      <c r="P15" s="11">
        <f t="shared" si="4"/>
        <v>363.624988</v>
      </c>
      <c r="Q15" s="11">
        <f t="shared" si="4"/>
        <v>7204.95732</v>
      </c>
      <c r="R15" s="17">
        <v>5462.4</v>
      </c>
      <c r="S15" s="18">
        <f aca="true" t="shared" si="5" ref="S15:S25">G15-R15</f>
        <v>669.6462800000008</v>
      </c>
      <c r="T15" s="17">
        <v>6387.1</v>
      </c>
      <c r="U15" s="18">
        <f aca="true" t="shared" si="6" ref="U15:U25">O15-T15</f>
        <v>817.8573200000001</v>
      </c>
    </row>
    <row r="16" spans="1:21" s="5" customFormat="1" ht="15.75" customHeight="1">
      <c r="A16" s="17" t="s">
        <v>5</v>
      </c>
      <c r="B16" s="18">
        <f>260306.802/1000</f>
        <v>260.306802</v>
      </c>
      <c r="C16" s="18">
        <f>6332807.15/1000</f>
        <v>6332.807150000001</v>
      </c>
      <c r="D16" s="18">
        <f>-281.132/1000-8384.526/1000</f>
        <v>-8.665657999999999</v>
      </c>
      <c r="E16" s="18">
        <f>-6839.95/1000-182743.41/1000</f>
        <v>-189.58336</v>
      </c>
      <c r="F16" s="18">
        <f>251641.144/1000</f>
        <v>251.641144</v>
      </c>
      <c r="G16" s="2">
        <f>6143223.79/1000</f>
        <v>6143.22379</v>
      </c>
      <c r="H16" s="19">
        <f t="shared" si="2"/>
        <v>251.641144</v>
      </c>
      <c r="I16" s="19">
        <f t="shared" si="3"/>
        <v>6143.223790000001</v>
      </c>
      <c r="J16" s="18">
        <f>378665.435/1000</f>
        <v>378.665435</v>
      </c>
      <c r="K16" s="18">
        <f>7461933.19/1000</f>
        <v>7461.933190000001</v>
      </c>
      <c r="L16" s="18">
        <f>-105.592/1000-12999.604/1000</f>
        <v>-13.105196</v>
      </c>
      <c r="M16" s="18">
        <f>-2538.13/1000-228532.75/1000</f>
        <v>-231.07088</v>
      </c>
      <c r="N16" s="18">
        <f>365560.239/1000</f>
        <v>365.560239</v>
      </c>
      <c r="O16" s="2">
        <f>7230862.31/1000</f>
        <v>7230.8623099999995</v>
      </c>
      <c r="P16" s="11">
        <f t="shared" si="4"/>
        <v>365.560239</v>
      </c>
      <c r="Q16" s="11">
        <f t="shared" si="4"/>
        <v>7230.86231</v>
      </c>
      <c r="R16" s="17">
        <v>6144.1</v>
      </c>
      <c r="S16" s="18">
        <f t="shared" si="5"/>
        <v>-0.8762100000003556</v>
      </c>
      <c r="T16" s="17">
        <v>7216.1</v>
      </c>
      <c r="U16" s="18">
        <f t="shared" si="6"/>
        <v>14.762309999999161</v>
      </c>
    </row>
    <row r="17" spans="1:21" s="5" customFormat="1" ht="15.75" customHeight="1">
      <c r="A17" s="17" t="s">
        <v>6</v>
      </c>
      <c r="B17" s="18">
        <f>254010.337/1000</f>
        <v>254.010337</v>
      </c>
      <c r="C17" s="18">
        <f>6179761.52/1000</f>
        <v>6179.761519999999</v>
      </c>
      <c r="D17" s="18">
        <f>-61.611/1000-10462.682/1000</f>
        <v>-10.524293</v>
      </c>
      <c r="E17" s="18">
        <f>-1513.48/1000-235354.18/1000</f>
        <v>-236.86765999999997</v>
      </c>
      <c r="F17" s="18">
        <f>243486.044/1000</f>
        <v>243.486044</v>
      </c>
      <c r="G17" s="2">
        <f>5942893.86/1000</f>
        <v>5942.89386</v>
      </c>
      <c r="H17" s="19">
        <f t="shared" si="2"/>
        <v>243.486044</v>
      </c>
      <c r="I17" s="19">
        <f t="shared" si="3"/>
        <v>5942.893859999999</v>
      </c>
      <c r="J17" s="18">
        <f>369282.92/1000</f>
        <v>369.28292</v>
      </c>
      <c r="K17" s="18">
        <f>7277501.86/1000</f>
        <v>7277.50186</v>
      </c>
      <c r="L17" s="18">
        <f>26.923/1000-15635.433/1000</f>
        <v>-15.60851</v>
      </c>
      <c r="M17" s="18">
        <f>249.56/1000-284248.28/1000</f>
        <v>-283.99872000000005</v>
      </c>
      <c r="N17" s="18">
        <f>353674.4/1000</f>
        <v>353.67440000000005</v>
      </c>
      <c r="O17" s="2">
        <f>6993503.14/1000</f>
        <v>6993.50314</v>
      </c>
      <c r="P17" s="11">
        <f t="shared" si="4"/>
        <v>353.67440999999997</v>
      </c>
      <c r="Q17" s="11">
        <f t="shared" si="4"/>
        <v>6993.503140000001</v>
      </c>
      <c r="R17" s="17">
        <v>5837.9</v>
      </c>
      <c r="S17" s="18">
        <f t="shared" si="5"/>
        <v>104.9938600000005</v>
      </c>
      <c r="T17" s="17">
        <v>6839.6</v>
      </c>
      <c r="U17" s="18">
        <f t="shared" si="6"/>
        <v>153.90313999999944</v>
      </c>
    </row>
    <row r="18" spans="1:21" s="5" customFormat="1" ht="15.75" customHeight="1">
      <c r="A18" s="17" t="s">
        <v>7</v>
      </c>
      <c r="B18" s="18">
        <f>250644.066/1000</f>
        <v>250.64406599999998</v>
      </c>
      <c r="C18" s="18">
        <f>6098144.91/1000</f>
        <v>6098.14491</v>
      </c>
      <c r="D18" s="18">
        <f>1.223/1000-7784.252/1000</f>
        <v>-7.783029</v>
      </c>
      <c r="E18" s="18">
        <f>29.75/1000-179398.86/1000</f>
        <v>-179.36910999999998</v>
      </c>
      <c r="F18" s="18">
        <f>242861.037/1000</f>
        <v>242.861037</v>
      </c>
      <c r="G18" s="2">
        <f>5918775.8/1000</f>
        <v>5918.775799999999</v>
      </c>
      <c r="H18" s="19">
        <f t="shared" si="2"/>
        <v>242.86103699999998</v>
      </c>
      <c r="I18" s="19">
        <f t="shared" si="3"/>
        <v>5918.7758</v>
      </c>
      <c r="J18" s="18">
        <f>364844.172/1000</f>
        <v>364.844172</v>
      </c>
      <c r="K18" s="18">
        <f>7191038.3/1000</f>
        <v>7191.0383</v>
      </c>
      <c r="L18" s="18">
        <f>-22177.509/1000-11475.451/1000</f>
        <v>-33.65295999999999</v>
      </c>
      <c r="M18" s="18">
        <f>-437323.8/1000-213850.08/1000</f>
        <v>-651.17388</v>
      </c>
      <c r="N18" s="18">
        <f>331191.212/1000</f>
        <v>331.191212</v>
      </c>
      <c r="O18" s="2">
        <f>6539864.42/1000</f>
        <v>6539.86442</v>
      </c>
      <c r="P18" s="11">
        <f t="shared" si="4"/>
        <v>331.191212</v>
      </c>
      <c r="Q18" s="11">
        <f t="shared" si="4"/>
        <v>6539.86442</v>
      </c>
      <c r="R18" s="17">
        <v>5567.9</v>
      </c>
      <c r="S18" s="18">
        <f t="shared" si="5"/>
        <v>350.8757999999998</v>
      </c>
      <c r="T18" s="17">
        <v>6550.4</v>
      </c>
      <c r="U18" s="18">
        <f t="shared" si="6"/>
        <v>-10.535579999999754</v>
      </c>
    </row>
    <row r="19" spans="1:21" s="5" customFormat="1" ht="15.75" customHeight="1">
      <c r="A19" s="17" t="s">
        <v>8</v>
      </c>
      <c r="B19" s="18">
        <f>249913.179/1000</f>
        <v>249.913179</v>
      </c>
      <c r="C19" s="18">
        <f>6080365.66/1000</f>
        <v>6080.36566</v>
      </c>
      <c r="D19" s="18">
        <f>-3814.911/1000-8294.628/1000</f>
        <v>-12.109539000000002</v>
      </c>
      <c r="E19" s="18">
        <f>-92816.81/1000-190833.23/1000</f>
        <v>-283.65004</v>
      </c>
      <c r="F19" s="18">
        <f>237803.64/1000</f>
        <v>237.80364</v>
      </c>
      <c r="G19" s="2">
        <f>5796715.62/1000</f>
        <v>5796.71562</v>
      </c>
      <c r="H19" s="19">
        <f t="shared" si="2"/>
        <v>237.80364</v>
      </c>
      <c r="I19" s="19">
        <f t="shared" si="3"/>
        <v>5796.715620000001</v>
      </c>
      <c r="J19" s="18">
        <f>362702.021/1000</f>
        <v>362.702021</v>
      </c>
      <c r="K19" s="18">
        <f>7148835.08/1000</f>
        <v>7148.83508</v>
      </c>
      <c r="L19" s="18">
        <f>-18373.25/1000-13926.416/1000</f>
        <v>-32.299666</v>
      </c>
      <c r="M19" s="18">
        <f>-362388.29/1000-260502.55/1000</f>
        <v>-622.89084</v>
      </c>
      <c r="N19" s="18">
        <f>330402.355/1000</f>
        <v>330.402355</v>
      </c>
      <c r="O19" s="2">
        <f>6525944.24/1000</f>
        <v>6525.94424</v>
      </c>
      <c r="P19" s="11">
        <f t="shared" si="4"/>
        <v>330.402355</v>
      </c>
      <c r="Q19" s="11">
        <f t="shared" si="4"/>
        <v>6525.94424</v>
      </c>
      <c r="R19" s="17">
        <v>5711.3</v>
      </c>
      <c r="S19" s="18">
        <f t="shared" si="5"/>
        <v>85.41561999999976</v>
      </c>
      <c r="T19" s="17">
        <v>6371.9</v>
      </c>
      <c r="U19" s="18">
        <f t="shared" si="6"/>
        <v>154.04424000000017</v>
      </c>
    </row>
    <row r="20" spans="1:21" s="5" customFormat="1" ht="15.75" customHeight="1">
      <c r="A20" s="17" t="s">
        <v>9</v>
      </c>
      <c r="B20" s="18">
        <f>249803.776/1000</f>
        <v>249.803776</v>
      </c>
      <c r="C20" s="18">
        <f>6077723.91/1000</f>
        <v>6077.72391</v>
      </c>
      <c r="D20" s="18">
        <f>17.056/1000-9527.882/1000</f>
        <v>-9.510826</v>
      </c>
      <c r="E20" s="18">
        <f>414.89/1000-224101.99/1000</f>
        <v>-223.6871</v>
      </c>
      <c r="F20" s="18">
        <f>240292.95/1000</f>
        <v>240.29295000000002</v>
      </c>
      <c r="G20" s="2">
        <f>5854036.81/1000</f>
        <v>5854.03681</v>
      </c>
      <c r="H20" s="19">
        <f t="shared" si="2"/>
        <v>240.29295</v>
      </c>
      <c r="I20" s="19">
        <f t="shared" si="3"/>
        <v>5854.03681</v>
      </c>
      <c r="J20" s="18">
        <f>363533.145/1000</f>
        <v>363.533145</v>
      </c>
      <c r="K20" s="18">
        <f>7165235.65/1000</f>
        <v>7165.2356500000005</v>
      </c>
      <c r="L20" s="18">
        <f>-9582.405/1000-14317.804/1000</f>
        <v>-23.900209000000004</v>
      </c>
      <c r="M20" s="18">
        <f>-189003.56/1000-272553.38/1000</f>
        <v>-461.55694</v>
      </c>
      <c r="N20" s="18">
        <f>339632.936/1000</f>
        <v>339.632936</v>
      </c>
      <c r="O20" s="2">
        <f>6703678.71/1000</f>
        <v>6703.67871</v>
      </c>
      <c r="P20" s="11">
        <f t="shared" si="4"/>
        <v>339.632936</v>
      </c>
      <c r="Q20" s="11">
        <f t="shared" si="4"/>
        <v>6703.67871</v>
      </c>
      <c r="R20" s="17">
        <v>5749.1</v>
      </c>
      <c r="S20" s="18">
        <f t="shared" si="5"/>
        <v>104.93680999999924</v>
      </c>
      <c r="T20" s="17">
        <v>6496.2</v>
      </c>
      <c r="U20" s="18">
        <f t="shared" si="6"/>
        <v>207.47871000000032</v>
      </c>
    </row>
    <row r="21" spans="1:21" s="5" customFormat="1" ht="15.75" customHeight="1">
      <c r="A21" s="17" t="s">
        <v>10</v>
      </c>
      <c r="B21" s="18">
        <f>248275.329/1000</f>
        <v>248.275329</v>
      </c>
      <c r="C21" s="18">
        <f>6040535.3/1000</f>
        <v>6040.5353</v>
      </c>
      <c r="D21" s="18">
        <f>-1275.591/1000-11148.307/1000</f>
        <v>-12.423898000000001</v>
      </c>
      <c r="E21" s="18">
        <f>-31045.28/1000-263362.7/1000</f>
        <v>-294.40798</v>
      </c>
      <c r="F21" s="18">
        <f>235851.431/1000</f>
        <v>235.85143100000002</v>
      </c>
      <c r="G21" s="2">
        <f>5746127.32/1000</f>
        <v>5746.1273200000005</v>
      </c>
      <c r="H21" s="19">
        <f>B21+D21</f>
        <v>235.851431</v>
      </c>
      <c r="I21" s="19">
        <f t="shared" si="3"/>
        <v>5746.12732</v>
      </c>
      <c r="J21" s="18">
        <f>360758.578/1000</f>
        <v>360.758578</v>
      </c>
      <c r="K21" s="18">
        <f>7110577.88/1000</f>
        <v>7110.57788</v>
      </c>
      <c r="L21" s="18">
        <f>-15056.062/1000-17298.715/1000</f>
        <v>-32.354777</v>
      </c>
      <c r="M21" s="18">
        <f>-296880.73/1000-331400.28/1000</f>
        <v>-628.2810099999999</v>
      </c>
      <c r="N21" s="18">
        <f>328403.801/1000</f>
        <v>328.403801</v>
      </c>
      <c r="O21" s="2">
        <f>6482296.87/1000</f>
        <v>6482.29687</v>
      </c>
      <c r="P21" s="11">
        <f t="shared" si="4"/>
        <v>328.403801</v>
      </c>
      <c r="Q21" s="11">
        <f t="shared" si="4"/>
        <v>6482.29687</v>
      </c>
      <c r="R21" s="17">
        <v>5714.3</v>
      </c>
      <c r="S21" s="18">
        <f t="shared" si="5"/>
        <v>31.827320000000327</v>
      </c>
      <c r="T21" s="17">
        <v>6522.9</v>
      </c>
      <c r="U21" s="18">
        <f t="shared" si="6"/>
        <v>-40.60312999999951</v>
      </c>
    </row>
    <row r="22" spans="1:21" s="5" customFormat="1" ht="15.75" customHeight="1">
      <c r="A22" s="17" t="s">
        <v>11</v>
      </c>
      <c r="B22" s="18">
        <f>248149.505/1000</f>
        <v>248.149505</v>
      </c>
      <c r="C22" s="18">
        <f>6037473.66/1000</f>
        <v>6037.473660000001</v>
      </c>
      <c r="D22" s="18">
        <f>1256.022/1000-11970.526/1000</f>
        <v>-10.714504</v>
      </c>
      <c r="E22" s="18">
        <f>30559/1000-285911.31/1000</f>
        <v>-255.35231000000002</v>
      </c>
      <c r="F22" s="18">
        <f>237435.001/1000</f>
        <v>237.435001</v>
      </c>
      <c r="G22" s="2">
        <f>5782121.35/1000</f>
        <v>5782.121349999999</v>
      </c>
      <c r="H22" s="19">
        <f>B22+D22</f>
        <v>237.435001</v>
      </c>
      <c r="I22" s="19">
        <f t="shared" si="3"/>
        <v>5782.12135</v>
      </c>
      <c r="J22" s="18">
        <f>360450.491/1000</f>
        <v>360.450491</v>
      </c>
      <c r="K22" s="18">
        <f>7104508.65/1000</f>
        <v>7104.508650000001</v>
      </c>
      <c r="L22" s="18">
        <f>-13320.022/1000-18949.104/1000</f>
        <v>-32.269126</v>
      </c>
      <c r="M22" s="18">
        <f>-262633.12/1000-366813.7/1000</f>
        <v>-629.4468200000001</v>
      </c>
      <c r="N22" s="18">
        <f>328181.365/1000</f>
        <v>328.18136499999997</v>
      </c>
      <c r="O22" s="2">
        <f>6475061.83/1000</f>
        <v>6475.06183</v>
      </c>
      <c r="P22" s="11">
        <f t="shared" si="4"/>
        <v>328.181365</v>
      </c>
      <c r="Q22" s="11">
        <f t="shared" si="4"/>
        <v>6475.061830000001</v>
      </c>
      <c r="R22" s="17">
        <v>5523.5</v>
      </c>
      <c r="S22" s="18">
        <f t="shared" si="5"/>
        <v>258.62134999999944</v>
      </c>
      <c r="T22" s="17">
        <v>6207.2</v>
      </c>
      <c r="U22" s="18">
        <f t="shared" si="6"/>
        <v>267.8618299999998</v>
      </c>
    </row>
    <row r="23" spans="1:21" s="5" customFormat="1" ht="15.75" customHeight="1">
      <c r="A23" s="17" t="s">
        <v>12</v>
      </c>
      <c r="B23" s="18">
        <f>247888.575/1000</f>
        <v>247.888575</v>
      </c>
      <c r="C23" s="18">
        <f>6031124.07/1000</f>
        <v>6031.12407</v>
      </c>
      <c r="D23" s="18">
        <f>13.432/1000-11654.079/1000</f>
        <v>-11.640647</v>
      </c>
      <c r="E23" s="18">
        <f>326.76/1000-279737.39/1000</f>
        <v>-279.41063</v>
      </c>
      <c r="F23" s="18">
        <f>236247.928/1000</f>
        <v>236.247928</v>
      </c>
      <c r="G23" s="3">
        <f>5751713.44/1000</f>
        <v>5751.71344</v>
      </c>
      <c r="H23" s="19">
        <f>B23+D23</f>
        <v>236.247928</v>
      </c>
      <c r="I23" s="19">
        <f t="shared" si="3"/>
        <v>5751.7134399999995</v>
      </c>
      <c r="J23" s="18">
        <f>359830.256/1000</f>
        <v>359.830256</v>
      </c>
      <c r="K23" s="18">
        <f>7092282.2/1000</f>
        <v>7092.282200000001</v>
      </c>
      <c r="L23" s="18">
        <f>-7378.529/1000-17780.084/1000</f>
        <v>-25.158613</v>
      </c>
      <c r="M23" s="18">
        <f>-145478.08/1000-346035.54/1000</f>
        <v>-491.51361999999995</v>
      </c>
      <c r="N23" s="18">
        <f>334671.643/1000</f>
        <v>334.67164299999996</v>
      </c>
      <c r="O23" s="3">
        <f>6600768.58/1000</f>
        <v>6600.76858</v>
      </c>
      <c r="P23" s="11">
        <f>J23+L23</f>
        <v>334.671643</v>
      </c>
      <c r="Q23" s="11">
        <f>K23+M23</f>
        <v>6600.768580000001</v>
      </c>
      <c r="R23" s="17">
        <v>5659.6</v>
      </c>
      <c r="S23" s="18">
        <f t="shared" si="5"/>
        <v>92.11344000000008</v>
      </c>
      <c r="T23" s="17">
        <v>6327.3</v>
      </c>
      <c r="U23" s="18">
        <f t="shared" si="6"/>
        <v>273.46857999999975</v>
      </c>
    </row>
    <row r="24" spans="1:21" s="5" customFormat="1" ht="15.75" customHeight="1">
      <c r="A24" s="17" t="s">
        <v>13</v>
      </c>
      <c r="B24" s="17"/>
      <c r="C24" s="17"/>
      <c r="D24" s="17"/>
      <c r="E24" s="17"/>
      <c r="F24" s="17"/>
      <c r="G24" s="17"/>
      <c r="H24" s="17"/>
      <c r="I24" s="20"/>
      <c r="J24" s="17"/>
      <c r="K24" s="17"/>
      <c r="L24" s="17"/>
      <c r="M24" s="17"/>
      <c r="N24" s="17"/>
      <c r="O24" s="17"/>
      <c r="Q24" s="10"/>
      <c r="R24" s="17"/>
      <c r="S24" s="18">
        <f t="shared" si="5"/>
        <v>0</v>
      </c>
      <c r="T24" s="17"/>
      <c r="U24" s="18">
        <f t="shared" si="6"/>
        <v>0</v>
      </c>
    </row>
    <row r="25" spans="1:21" s="5" customFormat="1" ht="15.75" customHeight="1">
      <c r="A25" s="17" t="s">
        <v>14</v>
      </c>
      <c r="B25" s="17"/>
      <c r="C25" s="17"/>
      <c r="D25" s="17"/>
      <c r="E25" s="17"/>
      <c r="F25" s="17"/>
      <c r="G25" s="17"/>
      <c r="H25" s="17"/>
      <c r="I25" s="20"/>
      <c r="J25" s="17"/>
      <c r="K25" s="17"/>
      <c r="L25" s="17"/>
      <c r="M25" s="17"/>
      <c r="N25" s="17"/>
      <c r="O25" s="17"/>
      <c r="Q25" s="10"/>
      <c r="R25" s="17"/>
      <c r="S25" s="18">
        <f t="shared" si="5"/>
        <v>0</v>
      </c>
      <c r="T25" s="17"/>
      <c r="U25" s="18">
        <f t="shared" si="6"/>
        <v>0</v>
      </c>
    </row>
    <row r="34" spans="18:19" ht="12.75">
      <c r="R34" s="29"/>
      <c r="S34" s="29"/>
    </row>
  </sheetData>
  <mergeCells count="19">
    <mergeCell ref="R12:U12"/>
    <mergeCell ref="L10:M10"/>
    <mergeCell ref="N10:O10"/>
    <mergeCell ref="J12:O12"/>
    <mergeCell ref="J10:K10"/>
    <mergeCell ref="T9:T11"/>
    <mergeCell ref="U9:U11"/>
    <mergeCell ref="B12:G12"/>
    <mergeCell ref="F10:G10"/>
    <mergeCell ref="D10:E10"/>
    <mergeCell ref="B10:C10"/>
    <mergeCell ref="A6:U6"/>
    <mergeCell ref="T7:U8"/>
    <mergeCell ref="R7:S8"/>
    <mergeCell ref="S9:S11"/>
    <mergeCell ref="R9:R11"/>
    <mergeCell ref="J7:O7"/>
    <mergeCell ref="B7:G7"/>
    <mergeCell ref="A7:A11"/>
  </mergeCells>
  <printOptions/>
  <pageMargins left="0.32" right="0.17" top="0.6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2010-12-01T04:43:02Z</cp:lastPrinted>
  <dcterms:created xsi:type="dcterms:W3CDTF">1996-10-08T23:32:33Z</dcterms:created>
  <dcterms:modified xsi:type="dcterms:W3CDTF">2010-12-06T05:11:05Z</dcterms:modified>
  <cp:category/>
  <cp:version/>
  <cp:contentType/>
  <cp:contentStatus/>
</cp:coreProperties>
</file>